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" windowWidth="8477" windowHeight="4723" activeTab="0"/>
  </bookViews>
  <sheets>
    <sheet name="スラブの設計（精算法）" sheetId="1" r:id="rId1"/>
  </sheets>
  <definedNames>
    <definedName name="_xlnm.Print_Area" localSheetId="0">'スラブの設計（精算法）'!$A$1:$AC$50</definedName>
  </definedNames>
  <calcPr fullCalcOnLoad="1"/>
</workbook>
</file>

<file path=xl/sharedStrings.xml><?xml version="1.0" encoding="utf-8"?>
<sst xmlns="http://schemas.openxmlformats.org/spreadsheetml/2006/main" count="121" uniqueCount="87">
  <si>
    <t>=</t>
  </si>
  <si>
    <t>応力割増：</t>
  </si>
  <si>
    <t>mm</t>
  </si>
  <si>
    <t>使用材料：</t>
  </si>
  <si>
    <t>fc</t>
  </si>
  <si>
    <t>=</t>
  </si>
  <si>
    <t>ft</t>
  </si>
  <si>
    <t>t</t>
  </si>
  <si>
    <t>mm</t>
  </si>
  <si>
    <t>( d =</t>
  </si>
  <si>
    <t>mm )</t>
  </si>
  <si>
    <t>D10@</t>
  </si>
  <si>
    <t>D10,D13@</t>
  </si>
  <si>
    <t>D13@</t>
  </si>
  <si>
    <t>(</t>
  </si>
  <si>
    <t>ac</t>
  </si>
  <si>
    <t>D13,D16@</t>
  </si>
  <si>
    <t>D16@</t>
  </si>
  <si>
    <r>
      <t>mm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 xml:space="preserve"> )</t>
    </r>
  </si>
  <si>
    <t>dc</t>
  </si>
  <si>
    <t>pt</t>
  </si>
  <si>
    <t>γ</t>
  </si>
  <si>
    <t>変形増大係数：</t>
  </si>
  <si>
    <t>=</t>
  </si>
  <si>
    <t>kN･m</t>
  </si>
  <si>
    <t>① 応力計算</t>
  </si>
  <si>
    <t>② 断面検定</t>
  </si>
  <si>
    <t>kN</t>
  </si>
  <si>
    <t>xn1</t>
  </si>
  <si>
    <t>,</t>
  </si>
  <si>
    <t>引張鉄筋比：</t>
  </si>
  <si>
    <t>複筋比：</t>
  </si>
  <si>
    <t xml:space="preserve">dc1 = dc/d </t>
  </si>
  <si>
    <t>釣合鉄筋比</t>
  </si>
  <si>
    <t>Ptb</t>
  </si>
  <si>
    <t>コンクリート</t>
  </si>
  <si>
    <t>鉄　筋</t>
  </si>
  <si>
    <t>SD295A</t>
  </si>
  <si>
    <t>(</t>
  </si>
  <si>
    <r>
      <t>N/mm</t>
    </r>
    <r>
      <rPr>
        <vertAlign val="superscript"/>
        <sz val="10"/>
        <rFont val="ＭＳ ゴシック"/>
        <family val="3"/>
      </rPr>
      <t xml:space="preserve">2 </t>
    </r>
    <r>
      <rPr>
        <sz val="10"/>
        <rFont val="ＭＳ ゴシック"/>
        <family val="3"/>
      </rPr>
      <t>)</t>
    </r>
  </si>
  <si>
    <t>)</t>
  </si>
  <si>
    <t>pt (=</t>
  </si>
  <si>
    <t>中立軸比</t>
  </si>
  <si>
    <t>pt× [</t>
  </si>
  <si>
    <t>C1</t>
  </si>
  <si>
    <t>pt･fc/3･xn1×{n×(1-xn1)×(3-xn1)-γ×(n-1)×(xn1-dc1)×(3･dc1-xn1)}</t>
  </si>
  <si>
    <t>C2</t>
  </si>
  <si>
    <t>pt･ft/3･n･(1-xn1)×{n×(1-xn1)×(3-xn1)-γ×(n-1)×(xn1-dc1)×(3･dc1-xn1)}</t>
  </si>
  <si>
    <t>C</t>
  </si>
  <si>
    <t>許容曲げモーメント</t>
  </si>
  <si>
    <t>min(</t>
  </si>
  <si>
    <t>) =</t>
  </si>
  <si>
    <t>MA</t>
  </si>
  <si>
    <r>
      <t>C･b･d</t>
    </r>
    <r>
      <rPr>
        <vertAlign val="superscript"/>
        <sz val="10"/>
        <rFont val="ＭＳ ゴシック"/>
        <family val="3"/>
      </rPr>
      <t>2</t>
    </r>
  </si>
  <si>
    <t>kN･m</t>
  </si>
  <si>
    <t>【使用方法】</t>
  </si>
  <si>
    <t>日本建築学会「鉄筋コンクリート構造計算規準・同解説」の13章 梁の曲げに対する</t>
  </si>
  <si>
    <t>配筋</t>
  </si>
  <si>
    <r>
      <t>mm</t>
    </r>
    <r>
      <rPr>
        <vertAlign val="superscript"/>
        <sz val="10"/>
        <rFont val="ＭＳ ゴシック"/>
        <family val="3"/>
      </rPr>
      <t>2</t>
    </r>
  </si>
  <si>
    <t>2×(1+ft/n･fc)×[ft/n･fc×{n+(n-1)×γ･dc1}-(n-1)×γ×(1-dc1)]</t>
  </si>
  <si>
    <r>
      <t>{n×(1+γ)-γ}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+2/pt×{n×(1+γ･dc1)-γ･dc1}</t>
    </r>
  </si>
  <si>
    <t>- {n×(1+γ)-γ}]</t>
  </si>
  <si>
    <t>M ( =</t>
  </si>
  <si>
    <t>検定比:</t>
  </si>
  <si>
    <t>許容せん断力</t>
  </si>
  <si>
    <t>τ</t>
  </si>
  <si>
    <r>
      <t>N/mm</t>
    </r>
    <r>
      <rPr>
        <vertAlign val="superscript"/>
        <sz val="10"/>
        <rFont val="ＭＳ ゴシック"/>
        <family val="3"/>
      </rPr>
      <t>2</t>
    </r>
  </si>
  <si>
    <t>fs( =</t>
  </si>
  <si>
    <t>ご使用にあたっては日本建築学会「鉄筋コンクリート構造計算規準・同解説」及び</t>
  </si>
  <si>
    <t>計算式を確認の上、ご利用下さい。</t>
  </si>
  <si>
    <t>また、シートの保護についてはパスワードを掛けていませんので文字サイズ、フォント</t>
  </si>
  <si>
    <t>などご自由に設定して下さい。</t>
  </si>
  <si>
    <t>入力M</t>
  </si>
  <si>
    <t>入力Q</t>
  </si>
  <si>
    <t>cm2</t>
  </si>
  <si>
    <t>mm2</t>
  </si>
  <si>
    <t>M/ft*j=</t>
  </si>
  <si>
    <t>配筋</t>
  </si>
  <si>
    <t>D13</t>
  </si>
  <si>
    <t>@</t>
  </si>
  <si>
    <t>FC21</t>
  </si>
  <si>
    <t>シングル配筋スラブの検討</t>
  </si>
  <si>
    <t>断面算定に従った精算法によるスラブの検討です。</t>
  </si>
  <si>
    <t>鉄筋</t>
  </si>
  <si>
    <t>参考計算</t>
  </si>
  <si>
    <t>入力箇所</t>
  </si>
  <si>
    <t>ac=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</si>
</sst>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00_ "/>
    <numFmt numFmtId="181" formatCode="0.00000_ "/>
    <numFmt numFmtId="182" formatCode="0.00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right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vertical="center" shrinkToFit="1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2" xfId="0" applyFont="1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9" fillId="33" borderId="0" xfId="45" applyFill="1" applyBorder="1" applyAlignment="1">
      <alignment horizontal="center"/>
    </xf>
    <xf numFmtId="177" fontId="2" fillId="0" borderId="0" xfId="0" applyNumberFormat="1" applyFont="1" applyAlignment="1" applyProtection="1">
      <alignment horizontal="center"/>
      <protection locked="0"/>
    </xf>
    <xf numFmtId="179" fontId="2" fillId="0" borderId="0" xfId="0" applyNumberFormat="1" applyFont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0" xfId="0" applyFont="1" applyAlignment="1" applyProtection="1" quotePrefix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vertical="center" shrinkToFit="1"/>
    </xf>
    <xf numFmtId="0" fontId="2" fillId="0" borderId="0" xfId="0" applyFont="1" applyAlignment="1" quotePrefix="1">
      <alignment horizontal="center" shrinkToFit="1"/>
    </xf>
    <xf numFmtId="179" fontId="2" fillId="0" borderId="0" xfId="0" applyNumberFormat="1" applyFont="1" applyAlignment="1">
      <alignment horizontal="left"/>
    </xf>
    <xf numFmtId="0" fontId="2" fillId="5" borderId="0" xfId="0" applyFont="1" applyFill="1" applyAlignment="1" quotePrefix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quotePrefix="1">
      <alignment horizontal="center"/>
    </xf>
    <xf numFmtId="0" fontId="2" fillId="5" borderId="0" xfId="0" applyFont="1" applyFill="1" applyAlignment="1">
      <alignment horizontal="center"/>
    </xf>
    <xf numFmtId="179" fontId="2" fillId="5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 quotePrefix="1">
      <alignment horizontal="right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177" fontId="2" fillId="5" borderId="0" xfId="0" applyNumberFormat="1" applyFont="1" applyFill="1" applyAlignment="1">
      <alignment horizontal="center"/>
    </xf>
    <xf numFmtId="17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27</xdr:row>
      <xdr:rowOff>0</xdr:rowOff>
    </xdr:from>
    <xdr:to>
      <xdr:col>7</xdr:col>
      <xdr:colOff>123825</xdr:colOff>
      <xdr:row>27</xdr:row>
      <xdr:rowOff>190500</xdr:rowOff>
    </xdr:to>
    <xdr:grpSp>
      <xdr:nvGrpSpPr>
        <xdr:cNvPr id="1" name="Group 12"/>
        <xdr:cNvGrpSpPr>
          <a:grpSpLocks/>
        </xdr:cNvGrpSpPr>
      </xdr:nvGrpSpPr>
      <xdr:grpSpPr>
        <a:xfrm>
          <a:off x="1704975" y="5400675"/>
          <a:ext cx="114300" cy="190500"/>
          <a:chOff x="172" y="651"/>
          <a:chExt cx="12" cy="20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 flipH="1">
            <a:off x="176" y="651"/>
            <a:ext cx="8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0"/>
          <xdr:cNvSpPr>
            <a:spLocks/>
          </xdr:cNvSpPr>
        </xdr:nvSpPr>
        <xdr:spPr>
          <a:xfrm>
            <a:off x="174" y="666"/>
            <a:ext cx="2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 flipV="1">
            <a:off x="172" y="666"/>
            <a:ext cx="2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133350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819275" y="5400675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0</xdr:rowOff>
    </xdr:from>
    <xdr:to>
      <xdr:col>6</xdr:col>
      <xdr:colOff>171450</xdr:colOff>
      <xdr:row>30</xdr:row>
      <xdr:rowOff>190500</xdr:rowOff>
    </xdr:to>
    <xdr:grpSp>
      <xdr:nvGrpSpPr>
        <xdr:cNvPr id="6" name="Group 14"/>
        <xdr:cNvGrpSpPr>
          <a:grpSpLocks/>
        </xdr:cNvGrpSpPr>
      </xdr:nvGrpSpPr>
      <xdr:grpSpPr>
        <a:xfrm>
          <a:off x="1524000" y="5857875"/>
          <a:ext cx="114300" cy="190500"/>
          <a:chOff x="172" y="651"/>
          <a:chExt cx="12" cy="20"/>
        </a:xfrm>
        <a:solidFill>
          <a:srgbClr val="FFFFFF"/>
        </a:solidFill>
      </xdr:grpSpPr>
      <xdr:sp>
        <xdr:nvSpPr>
          <xdr:cNvPr id="7" name="Line 15"/>
          <xdr:cNvSpPr>
            <a:spLocks/>
          </xdr:cNvSpPr>
        </xdr:nvSpPr>
        <xdr:spPr>
          <a:xfrm flipH="1">
            <a:off x="176" y="651"/>
            <a:ext cx="8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174" y="666"/>
            <a:ext cx="2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7"/>
          <xdr:cNvSpPr>
            <a:spLocks/>
          </xdr:cNvSpPr>
        </xdr:nvSpPr>
        <xdr:spPr>
          <a:xfrm flipV="1">
            <a:off x="172" y="666"/>
            <a:ext cx="2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30</xdr:row>
      <xdr:rowOff>0</xdr:rowOff>
    </xdr:from>
    <xdr:to>
      <xdr:col>28</xdr:col>
      <xdr:colOff>0</xdr:colOff>
      <xdr:row>30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1647825" y="5857875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2</xdr:row>
      <xdr:rowOff>19050</xdr:rowOff>
    </xdr:from>
    <xdr:to>
      <xdr:col>14</xdr:col>
      <xdr:colOff>19050</xdr:colOff>
      <xdr:row>2</xdr:row>
      <xdr:rowOff>200025</xdr:rowOff>
    </xdr:to>
    <xdr:pic>
      <xdr:nvPicPr>
        <xdr:cNvPr id="1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19100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</xdr:row>
      <xdr:rowOff>19050</xdr:rowOff>
    </xdr:from>
    <xdr:to>
      <xdr:col>16</xdr:col>
      <xdr:colOff>85725</xdr:colOff>
      <xdr:row>2</xdr:row>
      <xdr:rowOff>200025</xdr:rowOff>
    </xdr:to>
    <xdr:pic>
      <xdr:nvPicPr>
        <xdr:cNvPr id="1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419100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1247775" y="4400550"/>
          <a:ext cx="487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29</xdr:col>
      <xdr:colOff>0</xdr:colOff>
      <xdr:row>24</xdr:row>
      <xdr:rowOff>0</xdr:rowOff>
    </xdr:to>
    <xdr:sp>
      <xdr:nvSpPr>
        <xdr:cNvPr id="14" name="Line 41"/>
        <xdr:cNvSpPr>
          <a:spLocks/>
        </xdr:cNvSpPr>
      </xdr:nvSpPr>
      <xdr:spPr>
        <a:xfrm flipH="1">
          <a:off x="1247775" y="4800600"/>
          <a:ext cx="575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O57"/>
  <sheetViews>
    <sheetView tabSelected="1" zoomScale="70" zoomScaleNormal="70" zoomScaleSheetLayoutView="100" zoomScalePageLayoutView="0" workbookViewId="0" topLeftCell="A1">
      <selection activeCell="AE45" sqref="AE45"/>
    </sheetView>
  </sheetViews>
  <sheetFormatPr defaultColWidth="9.00390625" defaultRowHeight="13.5"/>
  <cols>
    <col min="1" max="4" width="2.875" style="1" customWidth="1"/>
    <col min="5" max="5" width="4.875" style="1" customWidth="1"/>
    <col min="6" max="7" width="2.875" style="1" customWidth="1"/>
    <col min="8" max="8" width="4.125" style="1" customWidth="1"/>
    <col min="9" max="12" width="2.875" style="1" customWidth="1"/>
    <col min="13" max="13" width="3.375" style="1" customWidth="1"/>
    <col min="14" max="14" width="2.875" style="1" customWidth="1"/>
    <col min="15" max="15" width="5.375" style="1" customWidth="1"/>
    <col min="16" max="16" width="2.875" style="1" customWidth="1"/>
    <col min="17" max="17" width="5.125" style="1" customWidth="1"/>
    <col min="18" max="67" width="2.875" style="1" customWidth="1"/>
    <col min="68" max="16384" width="9.00390625" style="1" customWidth="1"/>
  </cols>
  <sheetData>
    <row r="1" ht="15.75" customHeight="1">
      <c r="B1" s="1" t="s">
        <v>81</v>
      </c>
    </row>
    <row r="2" spans="2:35" ht="15.75" customHeight="1">
      <c r="B2" s="41"/>
      <c r="C2" s="10"/>
      <c r="D2" s="10"/>
      <c r="E2" s="26"/>
      <c r="F2" s="10"/>
      <c r="G2" s="10"/>
      <c r="K2" s="3"/>
      <c r="L2" s="3"/>
      <c r="M2" s="42"/>
      <c r="N2" s="42"/>
      <c r="O2" s="42"/>
      <c r="S2" s="3"/>
      <c r="T2" s="3"/>
      <c r="U2" s="42"/>
      <c r="V2" s="42"/>
      <c r="W2" s="42"/>
      <c r="Z2" s="20"/>
      <c r="AF2" s="12" t="s">
        <v>55</v>
      </c>
      <c r="AG2" s="13"/>
      <c r="AH2" s="12"/>
      <c r="AI2" s="12"/>
    </row>
    <row r="3" spans="2:35" ht="15.75" customHeight="1">
      <c r="B3" s="41"/>
      <c r="C3" s="10"/>
      <c r="D3" s="10"/>
      <c r="E3" s="10"/>
      <c r="F3" s="10"/>
      <c r="G3" s="10"/>
      <c r="L3" s="23" t="b">
        <v>1</v>
      </c>
      <c r="AF3" s="12"/>
      <c r="AG3" s="13" t="s">
        <v>56</v>
      </c>
      <c r="AH3" s="12"/>
      <c r="AI3" s="12"/>
    </row>
    <row r="4" spans="11:35" ht="15.75" customHeight="1">
      <c r="K4" s="5" t="s">
        <v>1</v>
      </c>
      <c r="O4" s="42">
        <v>1</v>
      </c>
      <c r="P4" s="42"/>
      <c r="W4" s="6" t="s">
        <v>22</v>
      </c>
      <c r="X4" s="39">
        <v>4</v>
      </c>
      <c r="Y4" s="39"/>
      <c r="AF4" s="12"/>
      <c r="AG4" s="13" t="s">
        <v>82</v>
      </c>
      <c r="AH4" s="12"/>
      <c r="AI4" s="12"/>
    </row>
    <row r="5" spans="2:27" ht="15.75" customHeight="1">
      <c r="B5" s="10"/>
      <c r="C5" s="10"/>
      <c r="D5" s="40"/>
      <c r="E5" s="40"/>
      <c r="F5" s="40"/>
      <c r="G5" s="10"/>
      <c r="H5" s="10"/>
      <c r="K5" s="5" t="s">
        <v>3</v>
      </c>
      <c r="O5" s="1" t="s">
        <v>35</v>
      </c>
      <c r="S5" s="57" t="s">
        <v>80</v>
      </c>
      <c r="T5" s="57"/>
      <c r="U5" s="57"/>
      <c r="V5" s="3" t="s">
        <v>38</v>
      </c>
      <c r="W5" s="4" t="s">
        <v>4</v>
      </c>
      <c r="X5" s="3" t="s">
        <v>5</v>
      </c>
      <c r="Y5" s="37">
        <f>RIGHT(S5,2)*IF(L3=TRUE,1/3,2/3)</f>
        <v>7</v>
      </c>
      <c r="Z5" s="37"/>
      <c r="AA5" s="5" t="s">
        <v>39</v>
      </c>
    </row>
    <row r="6" spans="3:35" ht="15.75" customHeight="1">
      <c r="C6" s="10"/>
      <c r="D6" s="2"/>
      <c r="E6" s="2"/>
      <c r="F6" s="2"/>
      <c r="G6" s="10"/>
      <c r="K6" s="5"/>
      <c r="O6" s="4" t="s">
        <v>36</v>
      </c>
      <c r="P6" s="3"/>
      <c r="Q6" s="3"/>
      <c r="S6" s="58" t="s">
        <v>37</v>
      </c>
      <c r="T6" s="59"/>
      <c r="U6" s="59"/>
      <c r="V6" s="3" t="s">
        <v>38</v>
      </c>
      <c r="W6" s="5" t="s">
        <v>6</v>
      </c>
      <c r="X6" s="3" t="s">
        <v>5</v>
      </c>
      <c r="Y6" s="37">
        <f>IF(L3=TRUE,195,295)</f>
        <v>195</v>
      </c>
      <c r="Z6" s="37"/>
      <c r="AA6" s="5" t="s">
        <v>39</v>
      </c>
      <c r="AG6" s="55" t="s">
        <v>85</v>
      </c>
      <c r="AH6" s="56"/>
      <c r="AI6" s="56"/>
    </row>
    <row r="7" ht="15.75" customHeight="1">
      <c r="AG7" s="5" t="s">
        <v>68</v>
      </c>
    </row>
    <row r="8" spans="3:33" ht="15.75" customHeight="1">
      <c r="C8" s="3" t="s">
        <v>7</v>
      </c>
      <c r="D8" s="3" t="s">
        <v>5</v>
      </c>
      <c r="E8" s="63">
        <v>150</v>
      </c>
      <c r="F8" s="63"/>
      <c r="G8" s="1" t="s">
        <v>8</v>
      </c>
      <c r="K8" s="6" t="s">
        <v>9</v>
      </c>
      <c r="L8" s="65">
        <f>+E8-T10</f>
        <v>70</v>
      </c>
      <c r="M8" s="66"/>
      <c r="N8" s="1" t="s">
        <v>10</v>
      </c>
      <c r="AG8" s="1" t="s">
        <v>69</v>
      </c>
    </row>
    <row r="9" spans="5:33" ht="15.75" customHeight="1">
      <c r="E9" s="8"/>
      <c r="F9" s="46"/>
      <c r="G9" s="47"/>
      <c r="H9" s="47"/>
      <c r="I9" s="43"/>
      <c r="J9" s="43"/>
      <c r="K9" s="6"/>
      <c r="M9" s="3"/>
      <c r="N9" s="37"/>
      <c r="O9" s="37"/>
      <c r="P9" s="5"/>
      <c r="R9" s="3"/>
      <c r="S9" s="3"/>
      <c r="T9" s="43"/>
      <c r="U9" s="43"/>
      <c r="AG9" s="5" t="s">
        <v>70</v>
      </c>
    </row>
    <row r="10" spans="5:33" ht="15.75" customHeight="1">
      <c r="E10" s="8" t="s">
        <v>83</v>
      </c>
      <c r="F10" s="61" t="s">
        <v>13</v>
      </c>
      <c r="G10" s="62"/>
      <c r="H10" s="62"/>
      <c r="I10" s="60">
        <v>125</v>
      </c>
      <c r="J10" s="60"/>
      <c r="K10" s="6" t="s">
        <v>14</v>
      </c>
      <c r="L10" s="5" t="s">
        <v>15</v>
      </c>
      <c r="M10" s="3" t="s">
        <v>5</v>
      </c>
      <c r="N10" s="37">
        <f>VLOOKUP(F10,AH15:AL20,4,FALSE)*1000/I10</f>
        <v>1016</v>
      </c>
      <c r="O10" s="37"/>
      <c r="P10" s="5" t="s">
        <v>18</v>
      </c>
      <c r="R10" s="3" t="s">
        <v>19</v>
      </c>
      <c r="S10" s="3" t="s">
        <v>0</v>
      </c>
      <c r="T10" s="60">
        <v>80</v>
      </c>
      <c r="U10" s="60"/>
      <c r="V10" s="1" t="s">
        <v>2</v>
      </c>
      <c r="AG10" s="1" t="s">
        <v>71</v>
      </c>
    </row>
    <row r="11" ht="15.75" customHeight="1"/>
    <row r="12" ht="15.75" customHeight="1">
      <c r="B12" s="1" t="s">
        <v>25</v>
      </c>
    </row>
    <row r="13" spans="3:5" ht="15.75" customHeight="1">
      <c r="C13" s="3"/>
      <c r="D13" s="3"/>
      <c r="E13" s="5"/>
    </row>
    <row r="14" spans="2:38" ht="15.75" customHeight="1">
      <c r="B14" s="1" t="s">
        <v>72</v>
      </c>
      <c r="D14" s="3" t="s">
        <v>23</v>
      </c>
      <c r="E14" s="64">
        <v>6.7</v>
      </c>
      <c r="F14" s="59"/>
      <c r="G14" s="59"/>
      <c r="H14" s="1" t="s">
        <v>24</v>
      </c>
      <c r="AG14" s="19"/>
      <c r="AH14" s="14" t="s">
        <v>57</v>
      </c>
      <c r="AI14" s="14"/>
      <c r="AJ14" s="15"/>
      <c r="AK14" s="45" t="s">
        <v>58</v>
      </c>
      <c r="AL14" s="44"/>
    </row>
    <row r="15" spans="3:38" ht="15.75" customHeight="1">
      <c r="C15" s="3"/>
      <c r="D15" s="3"/>
      <c r="E15" s="5"/>
      <c r="AG15" s="19"/>
      <c r="AH15" s="9" t="s">
        <v>11</v>
      </c>
      <c r="AI15" s="9"/>
      <c r="AJ15" s="18"/>
      <c r="AK15" s="44">
        <v>71</v>
      </c>
      <c r="AL15" s="44"/>
    </row>
    <row r="16" spans="2:38" ht="15.75" customHeight="1">
      <c r="B16" s="1" t="s">
        <v>73</v>
      </c>
      <c r="D16" s="3" t="s">
        <v>23</v>
      </c>
      <c r="E16" s="64">
        <v>17.6</v>
      </c>
      <c r="F16" s="59"/>
      <c r="G16" s="59"/>
      <c r="H16" s="1" t="s">
        <v>27</v>
      </c>
      <c r="AG16" s="19"/>
      <c r="AH16" s="16" t="s">
        <v>12</v>
      </c>
      <c r="AI16" s="16"/>
      <c r="AJ16" s="17"/>
      <c r="AK16" s="44">
        <v>99</v>
      </c>
      <c r="AL16" s="44"/>
    </row>
    <row r="17" spans="2:38" ht="15.75" customHeight="1">
      <c r="B17" s="1" t="s">
        <v>84</v>
      </c>
      <c r="D17" s="3"/>
      <c r="E17" s="25"/>
      <c r="F17" s="3"/>
      <c r="G17" s="3"/>
      <c r="AG17" s="19"/>
      <c r="AH17" s="16"/>
      <c r="AI17" s="16"/>
      <c r="AJ17" s="17"/>
      <c r="AK17" s="27"/>
      <c r="AL17" s="27"/>
    </row>
    <row r="18" spans="2:38" ht="15.75" customHeight="1">
      <c r="B18" s="1" t="s">
        <v>76</v>
      </c>
      <c r="E18" s="1">
        <f>E14*10000/(Y6*(0.875*(E8-T10)))</f>
        <v>5.609628466771324</v>
      </c>
      <c r="F18" s="1" t="s">
        <v>74</v>
      </c>
      <c r="G18" s="3" t="s">
        <v>0</v>
      </c>
      <c r="H18" s="1">
        <f>E18*100</f>
        <v>560.9628466771323</v>
      </c>
      <c r="I18" s="1" t="s">
        <v>75</v>
      </c>
      <c r="K18" s="1" t="s">
        <v>77</v>
      </c>
      <c r="M18" s="1" t="s">
        <v>78</v>
      </c>
      <c r="N18" s="29" t="s">
        <v>79</v>
      </c>
      <c r="O18" s="28">
        <f>I10</f>
        <v>125</v>
      </c>
      <c r="P18" s="1" t="s">
        <v>86</v>
      </c>
      <c r="Q18" s="1">
        <f>1000/O18*1.27*100</f>
        <v>1016</v>
      </c>
      <c r="AG18" s="19"/>
      <c r="AH18" s="16" t="s">
        <v>13</v>
      </c>
      <c r="AI18" s="16"/>
      <c r="AJ18" s="17"/>
      <c r="AK18" s="44">
        <v>127</v>
      </c>
      <c r="AL18" s="44"/>
    </row>
    <row r="19" spans="2:38" ht="15.75" customHeight="1">
      <c r="B19" s="1" t="s">
        <v>26</v>
      </c>
      <c r="AG19" s="19"/>
      <c r="AH19" s="16" t="s">
        <v>16</v>
      </c>
      <c r="AI19" s="16"/>
      <c r="AJ19" s="17"/>
      <c r="AK19" s="44">
        <v>163</v>
      </c>
      <c r="AL19" s="44"/>
    </row>
    <row r="20" spans="3:38" ht="15.75" customHeight="1">
      <c r="C20" s="5" t="s">
        <v>30</v>
      </c>
      <c r="G20" s="3" t="s">
        <v>20</v>
      </c>
      <c r="H20" s="3" t="s">
        <v>0</v>
      </c>
      <c r="I20" s="31">
        <f>ROUND(+N10/1000/L8,5)</f>
        <v>0.01451</v>
      </c>
      <c r="J20" s="31"/>
      <c r="K20" s="31"/>
      <c r="L20" s="3" t="s">
        <v>29</v>
      </c>
      <c r="O20" s="8" t="s">
        <v>31</v>
      </c>
      <c r="P20" s="3" t="s">
        <v>21</v>
      </c>
      <c r="Q20" s="3" t="s">
        <v>0</v>
      </c>
      <c r="R20" s="48">
        <v>0</v>
      </c>
      <c r="S20" s="48"/>
      <c r="T20" s="48"/>
      <c r="U20" s="3" t="s">
        <v>29</v>
      </c>
      <c r="Y20" s="8" t="s">
        <v>32</v>
      </c>
      <c r="Z20" s="3" t="s">
        <v>23</v>
      </c>
      <c r="AA20" s="31">
        <f>ROUND(+T10/L8,3)</f>
        <v>1.143</v>
      </c>
      <c r="AB20" s="31"/>
      <c r="AC20" s="31"/>
      <c r="AG20" s="19"/>
      <c r="AH20" s="14" t="s">
        <v>17</v>
      </c>
      <c r="AI20" s="14"/>
      <c r="AJ20" s="15"/>
      <c r="AK20" s="44">
        <v>199</v>
      </c>
      <c r="AL20" s="44"/>
    </row>
    <row r="21" ht="15.75" customHeight="1">
      <c r="C21" s="5" t="s">
        <v>33</v>
      </c>
    </row>
    <row r="22" spans="3:25" ht="15.75" customHeight="1">
      <c r="C22" s="50" t="s">
        <v>34</v>
      </c>
      <c r="D22" s="50"/>
      <c r="E22" s="51" t="s">
        <v>0</v>
      </c>
      <c r="F22" s="24"/>
      <c r="G22" s="24"/>
      <c r="H22" s="24"/>
      <c r="I22" s="24"/>
      <c r="J22" s="24"/>
      <c r="K22" s="24"/>
      <c r="L22" s="24"/>
      <c r="M22" s="24"/>
      <c r="N22" s="36">
        <v>1</v>
      </c>
      <c r="O22" s="36"/>
      <c r="P22" s="36"/>
      <c r="Q22" s="24"/>
      <c r="R22" s="24"/>
      <c r="S22" s="24"/>
      <c r="T22" s="24"/>
      <c r="U22" s="24"/>
      <c r="V22" s="24"/>
      <c r="W22" s="24"/>
      <c r="X22" s="24"/>
      <c r="Y22" s="10"/>
    </row>
    <row r="23" spans="3:25" ht="15.75" customHeight="1">
      <c r="C23" s="50"/>
      <c r="D23" s="50"/>
      <c r="E23" s="51"/>
      <c r="F23" s="52" t="s">
        <v>59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3:30" ht="15.75" customHeight="1">
      <c r="C24" s="7"/>
      <c r="D24" s="3"/>
      <c r="E24" s="51" t="s">
        <v>0</v>
      </c>
      <c r="F24" s="24"/>
      <c r="G24" s="24"/>
      <c r="H24" s="24"/>
      <c r="I24" s="24"/>
      <c r="J24" s="24"/>
      <c r="K24" s="24"/>
      <c r="L24" s="24"/>
      <c r="M24" s="24"/>
      <c r="N24" s="36">
        <v>1</v>
      </c>
      <c r="O24" s="36"/>
      <c r="P24" s="36"/>
      <c r="Q24" s="24"/>
      <c r="R24" s="24"/>
      <c r="S24" s="24"/>
      <c r="T24" s="24"/>
      <c r="U24" s="24"/>
      <c r="V24" s="24"/>
      <c r="W24" s="24"/>
      <c r="X24" s="24"/>
      <c r="Y24" s="10"/>
      <c r="Z24" s="10"/>
      <c r="AA24" s="10"/>
      <c r="AB24" s="10"/>
      <c r="AC24" s="10"/>
      <c r="AD24" s="10"/>
    </row>
    <row r="25" spans="5:41" ht="15.75" customHeight="1">
      <c r="E25" s="51"/>
      <c r="F25" s="52" t="str">
        <f>"2×(1+"&amp;TEXT(Y6,"0")&amp;"/15･"&amp;TEXT(Y5,"0")&amp;")×["&amp;TEXT(Y6,"0")&amp;"/15･"&amp;TEXT(Y5,"0")&amp;"×{15+(15-1)×"&amp;TEXT(R20,"0.000")&amp;"･"&amp;TEXT(AA20,"0.000")&amp;"}-(15-1)･"&amp;TEXT(R20,"0.000")&amp;"･(1-"&amp;TEXT(AA20,"0.000")&amp;")]"</f>
        <v>2×(1+195/15･7)×[195/15･7×{15+(15-1)×0.000･1.143}-(15-1)･0.000･(1-1.143)]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11"/>
      <c r="AL25" s="12"/>
      <c r="AM25" s="12"/>
      <c r="AN25" s="12"/>
      <c r="AO25" s="12"/>
    </row>
    <row r="26" spans="5:15" ht="15.75" customHeight="1">
      <c r="E26" s="3" t="s">
        <v>23</v>
      </c>
      <c r="F26" s="37">
        <f>ROUND(1/(2*(1+Y6/15/Y5)*(Y6/15/Y5*(15+(15-1)*R20*AA20)-(15-1)*R20*(1-AA20))),4)</f>
        <v>0.0063</v>
      </c>
      <c r="G26" s="37"/>
      <c r="H26" s="37"/>
      <c r="I26" s="3" t="str">
        <f>IF(F26&gt;L26,"&gt;","&lt;")</f>
        <v>&lt;</v>
      </c>
      <c r="J26" s="32" t="s">
        <v>41</v>
      </c>
      <c r="K26" s="37"/>
      <c r="L26" s="37">
        <f>+I20</f>
        <v>0.01451</v>
      </c>
      <c r="M26" s="37"/>
      <c r="N26" s="37"/>
      <c r="O26" s="1" t="s">
        <v>40</v>
      </c>
    </row>
    <row r="27" ht="15.75" customHeight="1">
      <c r="C27" s="1" t="s">
        <v>42</v>
      </c>
    </row>
    <row r="28" spans="3:23" ht="15.75" customHeight="1">
      <c r="C28" s="35" t="s">
        <v>28</v>
      </c>
      <c r="D28" s="35"/>
      <c r="E28" s="3" t="s">
        <v>23</v>
      </c>
      <c r="F28" s="49" t="s">
        <v>43</v>
      </c>
      <c r="G28" s="31"/>
      <c r="H28" s="31"/>
      <c r="I28" s="53" t="s">
        <v>60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" t="s">
        <v>61</v>
      </c>
    </row>
    <row r="29" spans="5:33" ht="15.75" customHeight="1">
      <c r="E29" s="3" t="s">
        <v>23</v>
      </c>
      <c r="F29" s="37" t="str">
        <f>TEXT(I20,"0.0000")&amp;"×["</f>
        <v>0.0145×[</v>
      </c>
      <c r="G29" s="37"/>
      <c r="H29" s="37"/>
      <c r="I29" s="37"/>
      <c r="AG29" s="3"/>
    </row>
    <row r="30" spans="5:33" ht="4.5" customHeight="1">
      <c r="E30" s="3"/>
      <c r="F30" s="3"/>
      <c r="G30" s="3"/>
      <c r="H30" s="3"/>
      <c r="I30" s="3"/>
      <c r="AG30" s="3"/>
    </row>
    <row r="31" spans="5:39" ht="15.75" customHeight="1">
      <c r="E31" s="3"/>
      <c r="F31" s="3"/>
      <c r="H31" s="31" t="str">
        <f>"{15×(1+"&amp;TEXT(R20,"0.000")&amp;")-"&amp;TEXT(R20,"0.000")&amp;"}^2+2/"&amp;TEXT(I20,"0.0000")&amp;"×{15×(1+"&amp;TEXT(R20,"0.000")&amp;"･"&amp;TEXT(AA20,"0.000")&amp;")-"&amp;TEXT(R20,"0.000")&amp;"･"&amp;TEXT(AA20,"0.000")&amp;"}"</f>
        <v>{15×(1+0.000)-0.000}^2+2/0.0145×{15×(1+0.000･1.143)-0.000･1.143}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"/>
      <c r="AE31" s="3"/>
      <c r="AF31" s="3"/>
      <c r="AG31" s="3"/>
      <c r="AM31" s="5"/>
    </row>
    <row r="32" spans="7:38" ht="15.75" customHeight="1">
      <c r="G32" s="1" t="str">
        <f>"-{15×(1-"&amp;TEXT(R20,"0.000")&amp;")-"&amp;TEXT(R20,"0.000")&amp;"}]"</f>
        <v>-{15×(1-0.000)-0.000}]</v>
      </c>
      <c r="AL32" s="12"/>
    </row>
    <row r="33" spans="5:38" ht="15.75" customHeight="1">
      <c r="E33" s="3" t="s">
        <v>23</v>
      </c>
      <c r="F33" s="37">
        <f>ROUND(I20*(((15*(1+R20)-R20)^2+2/I20*(15*(1+R20*AA20)-R20*AA20))^(1/2)-(15*(1+R20)-R20)),3)</f>
        <v>0.477</v>
      </c>
      <c r="G33" s="37"/>
      <c r="H33" s="37"/>
      <c r="AG33" s="20"/>
      <c r="AH33" s="20"/>
      <c r="AI33" s="20"/>
      <c r="AL33" s="12"/>
    </row>
    <row r="34" spans="3:35" ht="15.75" customHeight="1">
      <c r="C34" s="1" t="s">
        <v>49</v>
      </c>
      <c r="AG34" s="20"/>
      <c r="AH34" s="20"/>
      <c r="AI34" s="20"/>
    </row>
    <row r="35" spans="4:35" ht="15.75" customHeight="1">
      <c r="D35" s="3" t="s">
        <v>44</v>
      </c>
      <c r="E35" s="3" t="s">
        <v>23</v>
      </c>
      <c r="F35" s="5" t="s">
        <v>45</v>
      </c>
      <c r="AG35" s="20"/>
      <c r="AH35" s="20"/>
      <c r="AI35" s="20"/>
    </row>
    <row r="36" spans="5:35" ht="15.75" customHeight="1">
      <c r="E36" s="3" t="s">
        <v>23</v>
      </c>
      <c r="F36" s="1" t="str">
        <f>TEXT(I20,"0.0000")&amp;"･"&amp;TEXT(Y5,"0")&amp;"/3･"&amp;TEXT(F33,"0.000")&amp;"×{15×(1-"&amp;TEXT(F33,"0.000")&amp;")×(3-"&amp;TEXT(F33,"0.000")&amp;")"</f>
        <v>0.0145･7/3･0.477×{15×(1-0.477)×(3-0.477)</v>
      </c>
      <c r="AG36" s="20"/>
      <c r="AH36" s="20"/>
      <c r="AI36" s="20"/>
    </row>
    <row r="37" spans="5:35" ht="15.75" customHeight="1">
      <c r="E37" s="3"/>
      <c r="G37" s="1" t="str">
        <f>"-"&amp;TEXT(R20,"0.000")&amp;"×(15-1)×("&amp;TEXT(F33,"0.000")&amp;"-"&amp;TEXT(AA20,"0.000")&amp;")×(3･"&amp;TEXT(AA20,"0.000")&amp;"-"&amp;TEXT(F33,"0.000")&amp;")}"</f>
        <v>-0.000×(15-1)×(0.477-1.143)×(3･1.143-0.477)}</v>
      </c>
      <c r="AG37" s="20"/>
      <c r="AH37" s="20"/>
      <c r="AI37" s="20"/>
    </row>
    <row r="38" spans="5:35" ht="15.75" customHeight="1">
      <c r="E38" s="3" t="s">
        <v>23</v>
      </c>
      <c r="F38" s="38">
        <f>ROUND(+I20*Y5/3/F33*(15*(1-F33)*(3-F33)-R20*(15-1)*(F33-AA20)*(3*AA20-F33)),3)</f>
        <v>1.405</v>
      </c>
      <c r="G38" s="38"/>
      <c r="H38" s="38"/>
      <c r="AG38" s="21"/>
      <c r="AH38" s="21"/>
      <c r="AI38" s="21"/>
    </row>
    <row r="39" spans="4:35" ht="15.75" customHeight="1">
      <c r="D39" s="3" t="s">
        <v>46</v>
      </c>
      <c r="E39" s="3" t="s">
        <v>23</v>
      </c>
      <c r="F39" s="5" t="s">
        <v>47</v>
      </c>
      <c r="AG39" s="22"/>
      <c r="AH39" s="22"/>
      <c r="AI39" s="22"/>
    </row>
    <row r="40" spans="4:6" ht="15.75" customHeight="1">
      <c r="D40" s="3"/>
      <c r="E40" s="3" t="s">
        <v>23</v>
      </c>
      <c r="F40" s="1" t="str">
        <f>TEXT(I20,"0.0000")&amp;"･"&amp;TEXT(Y6,"0")&amp;"/3･15･(1-"&amp;TEXT(F33,"0.000")&amp;")×{15×(1-"&amp;TEXT(F33,"0.000")&amp;")×(3-"&amp;TEXT(F33,"0.000")&amp;")"</f>
        <v>0.0145･195/3･15･(1-0.477)×{15×(1-0.477)×(3-0.477)</v>
      </c>
    </row>
    <row r="41" ht="15.75" customHeight="1">
      <c r="G41" s="1" t="str">
        <f>"-"&amp;TEXT(R20,"0.000")&amp;"×(15-1)×("&amp;TEXT(F33,"0.000")&amp;"-"&amp;TEXT(AA20,"0.000")&amp;"）×(3･"&amp;TEXT(AA20,"0.000")&amp;"-"&amp;TEXT(F33,"0.000")&amp;")}"</f>
        <v>-0.000×(15-1)×(0.477-1.143）×(3･1.143-0.477)}</v>
      </c>
    </row>
    <row r="42" spans="5:8" ht="15.75" customHeight="1">
      <c r="E42" s="3" t="s">
        <v>23</v>
      </c>
      <c r="F42" s="37">
        <f>ROUND(+I20*Y6/3/15/(1-F33)*(15*(1-F33)*(3-F33)-R20*(15-1)*(F33-AA20)*(3*AA20-F33)),3)</f>
        <v>2.38</v>
      </c>
      <c r="G42" s="37"/>
      <c r="H42" s="37"/>
    </row>
    <row r="43" spans="4:19" ht="15.75" customHeight="1">
      <c r="D43" s="3" t="s">
        <v>48</v>
      </c>
      <c r="E43" s="3" t="s">
        <v>23</v>
      </c>
      <c r="F43" s="37" t="s">
        <v>50</v>
      </c>
      <c r="G43" s="37"/>
      <c r="H43" s="38">
        <f>+F38</f>
        <v>1.405</v>
      </c>
      <c r="I43" s="38"/>
      <c r="J43" s="38"/>
      <c r="K43" s="3" t="s">
        <v>29</v>
      </c>
      <c r="L43" s="38">
        <f>+F42</f>
        <v>2.38</v>
      </c>
      <c r="M43" s="38"/>
      <c r="N43" s="38"/>
      <c r="O43" s="32" t="s">
        <v>51</v>
      </c>
      <c r="P43" s="37"/>
      <c r="Q43" s="38">
        <f>MIN(H43,L43)</f>
        <v>1.405</v>
      </c>
      <c r="R43" s="38"/>
      <c r="S43" s="38"/>
    </row>
    <row r="44" spans="4:10" ht="15.75" customHeight="1">
      <c r="D44" s="3" t="s">
        <v>52</v>
      </c>
      <c r="E44" s="3" t="s">
        <v>23</v>
      </c>
      <c r="F44" s="32" t="s">
        <v>53</v>
      </c>
      <c r="G44" s="32"/>
      <c r="H44" s="32"/>
      <c r="I44" s="3" t="s">
        <v>23</v>
      </c>
      <c r="J44" s="1" t="str">
        <f>TEXT(Q43,"0.000")&amp;"×1000×"&amp;TEXT(L8,"0")&amp;"^2 /1000000"</f>
        <v>1.405×1000×70^2 /1000000</v>
      </c>
    </row>
    <row r="45" spans="5:24" ht="15.75" customHeight="1">
      <c r="E45" s="3" t="s">
        <v>23</v>
      </c>
      <c r="F45" s="37">
        <f>ROUNDDOWN(+Q43*1000*L8^2/1000000,2)</f>
        <v>6.88</v>
      </c>
      <c r="G45" s="37"/>
      <c r="H45" s="37"/>
      <c r="I45" s="1" t="s">
        <v>54</v>
      </c>
      <c r="K45" s="3" t="str">
        <f>IF(F45&gt;N45,"&gt;","&lt;")</f>
        <v>&gt;</v>
      </c>
      <c r="L45" s="32" t="s">
        <v>62</v>
      </c>
      <c r="M45" s="32"/>
      <c r="N45" s="33">
        <f>+E14</f>
        <v>6.7</v>
      </c>
      <c r="O45" s="33"/>
      <c r="P45" s="33"/>
      <c r="Q45" s="1" t="s">
        <v>40</v>
      </c>
      <c r="R45" s="34" t="s">
        <v>63</v>
      </c>
      <c r="S45" s="35"/>
      <c r="T45" s="35"/>
      <c r="U45" s="30">
        <f>+N45/F45</f>
        <v>0.9738372093023256</v>
      </c>
      <c r="V45" s="31"/>
      <c r="X45" s="1" t="str">
        <f>IF(F45&gt;N45,"∴ OK","NG!!!")</f>
        <v>∴ OK</v>
      </c>
    </row>
    <row r="46" ht="15.75" customHeight="1"/>
    <row r="47" ht="15.75" customHeight="1">
      <c r="C47" s="1" t="s">
        <v>64</v>
      </c>
    </row>
    <row r="48" spans="4:6" ht="15.75" customHeight="1">
      <c r="D48" s="3" t="s">
        <v>65</v>
      </c>
      <c r="E48" s="3" t="s">
        <v>23</v>
      </c>
      <c r="F48" s="5" t="str">
        <f>"Q / b･j = "&amp;TEXT(E16,"0.00")&amp;"×1000 / 1000･"&amp;TEXT(L8,"0")&amp;"･7/8"</f>
        <v>Q / b･j = 17.60×1000 / 1000･70･7/8</v>
      </c>
    </row>
    <row r="49" spans="5:24" ht="15.75" customHeight="1">
      <c r="E49" s="3" t="s">
        <v>23</v>
      </c>
      <c r="F49" s="33">
        <f>ROUNDUP(+E16*1000/1000/(L8*7/8),2)</f>
        <v>0.29000000000000004</v>
      </c>
      <c r="G49" s="33"/>
      <c r="H49" s="33"/>
      <c r="I49" s="5" t="s">
        <v>66</v>
      </c>
      <c r="K49" s="3" t="str">
        <f>IF(F49&gt;N49,"&gt;","&lt;")</f>
        <v>&lt;</v>
      </c>
      <c r="L49" s="32" t="s">
        <v>67</v>
      </c>
      <c r="M49" s="32"/>
      <c r="N49" s="33">
        <f>(RIGHT(S5,2)/100+0.49)*IF(L3=TRUE,1,2)</f>
        <v>0.7</v>
      </c>
      <c r="O49" s="33"/>
      <c r="P49" s="33"/>
      <c r="Q49" s="1" t="s">
        <v>40</v>
      </c>
      <c r="R49" s="34" t="s">
        <v>63</v>
      </c>
      <c r="S49" s="35"/>
      <c r="T49" s="35"/>
      <c r="U49" s="30">
        <f>F49/N49</f>
        <v>0.41428571428571437</v>
      </c>
      <c r="V49" s="31"/>
      <c r="X49" s="1" t="str">
        <f>IF(F49&lt;N49,"∴ OK","NG!!!")</f>
        <v>∴ OK</v>
      </c>
    </row>
    <row r="50" ht="15.75" customHeight="1"/>
    <row r="51" ht="15.75" customHeight="1"/>
    <row r="52" spans="4:19" ht="15.75" customHeight="1">
      <c r="D52" s="3"/>
      <c r="E52" s="3"/>
      <c r="F52" s="37"/>
      <c r="G52" s="37"/>
      <c r="H52" s="20"/>
      <c r="I52" s="5"/>
      <c r="N52" s="3"/>
      <c r="O52" s="3"/>
      <c r="P52" s="37"/>
      <c r="Q52" s="37"/>
      <c r="R52" s="20"/>
      <c r="S52" s="5"/>
    </row>
    <row r="53" spans="4:6" ht="15.75" customHeight="1">
      <c r="D53" s="3"/>
      <c r="E53" s="3"/>
      <c r="F53" s="5"/>
    </row>
    <row r="54" ht="15.75" customHeight="1">
      <c r="E54" s="3"/>
    </row>
    <row r="55" spans="5:14" ht="15.75" customHeight="1">
      <c r="E55" s="3"/>
      <c r="F55" s="37"/>
      <c r="G55" s="37"/>
      <c r="H55" s="37"/>
      <c r="K55" s="3"/>
      <c r="L55" s="54"/>
      <c r="M55" s="54"/>
      <c r="N55" s="54"/>
    </row>
    <row r="56" spans="4:7" ht="15.75" customHeight="1">
      <c r="D56" s="8"/>
      <c r="E56" s="3"/>
      <c r="F56" s="33"/>
      <c r="G56" s="33"/>
    </row>
    <row r="57" spans="5:14" ht="15.75" customHeight="1">
      <c r="E57" s="3"/>
      <c r="F57" s="33"/>
      <c r="G57" s="33"/>
      <c r="H57" s="33"/>
      <c r="K57" s="3"/>
      <c r="L57" s="54"/>
      <c r="M57" s="54"/>
      <c r="N57" s="54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</sheetData>
  <sheetProtection/>
  <protectedRanges>
    <protectedRange sqref="U2:W2 M2:O2 O4:P4" name="範囲1"/>
  </protectedRanges>
  <mergeCells count="72">
    <mergeCell ref="L57:N57"/>
    <mergeCell ref="F55:H55"/>
    <mergeCell ref="F57:H57"/>
    <mergeCell ref="L55:N55"/>
    <mergeCell ref="F56:G56"/>
    <mergeCell ref="F52:G52"/>
    <mergeCell ref="P52:Q52"/>
    <mergeCell ref="R45:T45"/>
    <mergeCell ref="U45:V45"/>
    <mergeCell ref="F49:H49"/>
    <mergeCell ref="F43:G43"/>
    <mergeCell ref="H43:J43"/>
    <mergeCell ref="L45:M45"/>
    <mergeCell ref="N45:P45"/>
    <mergeCell ref="F45:H45"/>
    <mergeCell ref="L43:N43"/>
    <mergeCell ref="F44:H44"/>
    <mergeCell ref="F26:H26"/>
    <mergeCell ref="J26:K26"/>
    <mergeCell ref="L26:N26"/>
    <mergeCell ref="I28:V28"/>
    <mergeCell ref="F29:I29"/>
    <mergeCell ref="F33:H33"/>
    <mergeCell ref="F38:H38"/>
    <mergeCell ref="C28:D28"/>
    <mergeCell ref="F28:H28"/>
    <mergeCell ref="C22:D23"/>
    <mergeCell ref="E22:E23"/>
    <mergeCell ref="E24:E25"/>
    <mergeCell ref="F23:Y23"/>
    <mergeCell ref="F25:AC25"/>
    <mergeCell ref="I20:K20"/>
    <mergeCell ref="E16:G16"/>
    <mergeCell ref="AA20:AC20"/>
    <mergeCell ref="R20:T20"/>
    <mergeCell ref="AK20:AL20"/>
    <mergeCell ref="AK19:AL19"/>
    <mergeCell ref="AK18:AL18"/>
    <mergeCell ref="I10:J10"/>
    <mergeCell ref="E8:F8"/>
    <mergeCell ref="L8:M8"/>
    <mergeCell ref="E14:G14"/>
    <mergeCell ref="AK15:AL15"/>
    <mergeCell ref="AK16:AL16"/>
    <mergeCell ref="AK14:AL14"/>
    <mergeCell ref="F9:H9"/>
    <mergeCell ref="I9:J9"/>
    <mergeCell ref="F10:H10"/>
    <mergeCell ref="S6:U6"/>
    <mergeCell ref="N9:O9"/>
    <mergeCell ref="N10:O10"/>
    <mergeCell ref="T9:U9"/>
    <mergeCell ref="T10:U10"/>
    <mergeCell ref="X4:Y4"/>
    <mergeCell ref="Y5:Z5"/>
    <mergeCell ref="Y6:Z6"/>
    <mergeCell ref="S5:U5"/>
    <mergeCell ref="D5:F5"/>
    <mergeCell ref="B2:B3"/>
    <mergeCell ref="M2:O2"/>
    <mergeCell ref="U2:W2"/>
    <mergeCell ref="O4:P4"/>
    <mergeCell ref="U49:V49"/>
    <mergeCell ref="L49:M49"/>
    <mergeCell ref="N49:P49"/>
    <mergeCell ref="R49:T49"/>
    <mergeCell ref="H31:AC31"/>
    <mergeCell ref="N22:P22"/>
    <mergeCell ref="N24:P24"/>
    <mergeCell ref="F42:H42"/>
    <mergeCell ref="O43:P43"/>
    <mergeCell ref="Q43:S43"/>
  </mergeCells>
  <conditionalFormatting sqref="X45">
    <cfRule type="expression" priority="1" dxfId="2" stopIfTrue="1">
      <formula>$F$45&lt;$N$45</formula>
    </cfRule>
  </conditionalFormatting>
  <conditionalFormatting sqref="X49">
    <cfRule type="expression" priority="2" dxfId="2" stopIfTrue="1">
      <formula>$F$49&gt;$N$49</formula>
    </cfRule>
  </conditionalFormatting>
  <dataValidations count="2">
    <dataValidation type="list" allowBlank="1" showInputMessage="1" showErrorMessage="1" sqref="S5:U5">
      <formula1>"FC21,FC24,FC27,FC30"</formula1>
    </dataValidation>
    <dataValidation type="list" allowBlank="1" showInputMessage="1" showErrorMessage="1" sqref="F9:H10">
      <formula1>$AH$15:$AH$20</formula1>
    </dataValidation>
  </dataValidations>
  <printOptions/>
  <pageMargins left="0.7" right="0.7" top="0.75" bottom="0.75" header="0.3" footer="0.3"/>
  <pageSetup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</dc:creator>
  <cp:keywords/>
  <dc:description/>
  <cp:lastModifiedBy>Merio Nagano</cp:lastModifiedBy>
  <cp:lastPrinted>2024-03-23T05:40:09Z</cp:lastPrinted>
  <dcterms:created xsi:type="dcterms:W3CDTF">1997-01-08T22:48:59Z</dcterms:created>
  <dcterms:modified xsi:type="dcterms:W3CDTF">2024-03-23T05:41:34Z</dcterms:modified>
  <cp:category/>
  <cp:version/>
  <cp:contentType/>
  <cp:contentStatus/>
</cp:coreProperties>
</file>